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11145" activeTab="0"/>
  </bookViews>
  <sheets>
    <sheet name="Pre-$ Capitalization" sheetId="1" r:id="rId1"/>
    <sheet name="New Up-Round Pricing Model" sheetId="2" r:id="rId2"/>
    <sheet name="Post-$ Pro Forma Capitalization" sheetId="3" r:id="rId3"/>
  </sheets>
  <definedNames>
    <definedName name="_xlnm.Print_Area" localSheetId="2">'Post-$ Pro Forma Capitalization'!$A$1:$L$28</definedName>
    <definedName name="_xlnm.Print_Area" localSheetId="0">'Pre-$ Capitalization'!$A$1:$I$25</definedName>
  </definedNames>
  <calcPr fullCalcOnLoad="1"/>
</workbook>
</file>

<file path=xl/sharedStrings.xml><?xml version="1.0" encoding="utf-8"?>
<sst xmlns="http://schemas.openxmlformats.org/spreadsheetml/2006/main" count="91" uniqueCount="59">
  <si>
    <t>Investors</t>
  </si>
  <si>
    <t>Common Stock</t>
  </si>
  <si>
    <t>Common %</t>
  </si>
  <si>
    <t>Series A %</t>
  </si>
  <si>
    <t>Total %</t>
  </si>
  <si>
    <t>Acme, Inc.</t>
  </si>
  <si>
    <t>Capitalization Table</t>
  </si>
  <si>
    <t>Investor #1</t>
  </si>
  <si>
    <t>Investor #2</t>
  </si>
  <si>
    <t>Investor #3</t>
  </si>
  <si>
    <t>Investor #4</t>
  </si>
  <si>
    <t>Investor #5</t>
  </si>
  <si>
    <t>Founders</t>
  </si>
  <si>
    <t>Founder #1</t>
  </si>
  <si>
    <t>Founder #2</t>
  </si>
  <si>
    <t>20__ Equity Incentive Plan</t>
  </si>
  <si>
    <t>Available (Ungranted) Option Shares</t>
  </si>
  <si>
    <t>Granted Option Shares</t>
  </si>
  <si>
    <t>Common % w/o Pool</t>
  </si>
  <si>
    <t>n/a</t>
  </si>
  <si>
    <t>Total Shares</t>
  </si>
  <si>
    <t>Series A[1]</t>
  </si>
  <si>
    <t>[1] This example assumes that the Series A converts into Common Stock at a 1:1 ratio.  If the Series A converts into Common Stock at anything other than a 1:1 ratio, then</t>
  </si>
  <si>
    <t>the Series A columns should be expanded into a "nominal shares" column and an as-converted shares column and all calculations in which the Series A shares are combined with the</t>
  </si>
  <si>
    <t>shares of any other class or series (e.g., the "Total Shares" calculation) should draw on the as-converted shares.</t>
  </si>
  <si>
    <t>Options (granted)</t>
  </si>
  <si>
    <t>Options (available)</t>
  </si>
  <si>
    <t>Available pool (%)</t>
  </si>
  <si>
    <t>New money ($)</t>
  </si>
  <si>
    <t>Pre-money valuation ($)</t>
  </si>
  <si>
    <t>Price per share ($)</t>
  </si>
  <si>
    <t>Series A</t>
  </si>
  <si>
    <t>New Investor</t>
  </si>
  <si>
    <t>Series B[1]</t>
  </si>
  <si>
    <t>Series B %</t>
  </si>
  <si>
    <t>Preferred %</t>
  </si>
  <si>
    <t>[1] This example assumes that the Preferred converts into Common Stock at a 1:1 ratio.  If the Preferred converts into Common Stock at anything other than a 1:1 ratio, then</t>
  </si>
  <si>
    <t>the Preferred columns should be expanded into a "nominal shares" column and an as-converted shares column and all calculations in which the Preferred shares are combined with the</t>
  </si>
  <si>
    <t>Available Option Shares (Increase)</t>
  </si>
  <si>
    <t>(Pro-Forma)</t>
  </si>
  <si>
    <t>(Current)</t>
  </si>
  <si>
    <t>(While meaured as a function of the post-money, this reduces the effective pre-money so that it doesn't dilute the new money).</t>
  </si>
  <si>
    <t>Value of new pool ($)</t>
  </si>
  <si>
    <t>Pre-money shares, less existing pool</t>
  </si>
  <si>
    <t>Pool Increase</t>
  </si>
  <si>
    <t>Total post-money shares</t>
  </si>
  <si>
    <t>Checks:</t>
  </si>
  <si>
    <t>Post-money value</t>
  </si>
  <si>
    <t>Aggregate new pool percent</t>
  </si>
  <si>
    <t>Series B Percent</t>
  </si>
  <si>
    <t>(This is reduced by available pool to back out to "known" amounts, allowing us to compare apples to applies)</t>
  </si>
  <si>
    <t>Summary post-money capitalzation</t>
  </si>
  <si>
    <t>Series B</t>
  </si>
  <si>
    <t>New $ - Series B Shares</t>
  </si>
  <si>
    <t>Total</t>
  </si>
  <si>
    <t>Summary pre-money capitalization</t>
  </si>
  <si>
    <t>(Cells in yellow can be changed to get different results)</t>
  </si>
  <si>
    <t>Post-money valuation ($)</t>
  </si>
  <si>
    <t>Implied pre-money, pre-pool value ($)</t>
  </si>
</sst>
</file>

<file path=xl/styles.xml><?xml version="1.0" encoding="utf-8"?>
<styleSheet xmlns="http://schemas.openxmlformats.org/spreadsheetml/2006/main">
  <numFmts count="4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_);_(* \(#,##0.0\);_(* &quot;-&quot;?_);_(@_)"/>
    <numFmt numFmtId="180" formatCode="_(* #,##0.0000000_);_(* \(#,##0.0000000\);_(* &quot;-&quot;??_);_(@_)"/>
    <numFmt numFmtId="181" formatCode="_(&quot;$&quot;* #,##0.000_);_(&quot;$&quot;* \(#,##0.000\);_(&quot;$&quot;* &quot;-&quot;??_);_(@_)"/>
    <numFmt numFmtId="182" formatCode="_(&quot;$&quot;* #,##0.0000_);_(&quot;$&quot;* \(#,##0.0000\);_(&quot;$&quot;* &quot;-&quot;??_);_(@_)"/>
    <numFmt numFmtId="183" formatCode="0.000%"/>
    <numFmt numFmtId="184" formatCode="0.0000%"/>
    <numFmt numFmtId="185" formatCode="0.00000%"/>
    <numFmt numFmtId="186" formatCode="0.000000%"/>
    <numFmt numFmtId="187" formatCode="0.0000000%"/>
    <numFmt numFmtId="188" formatCode="0.00000000%"/>
    <numFmt numFmtId="189" formatCode="0.000000000%"/>
    <numFmt numFmtId="190" formatCode="0.0000000000%"/>
    <numFmt numFmtId="191" formatCode="0.00000000000%"/>
    <numFmt numFmtId="192" formatCode="0.000000000000%"/>
    <numFmt numFmtId="193" formatCode="0.0000000000000%"/>
    <numFmt numFmtId="194" formatCode="0.0000000000"/>
    <numFmt numFmtId="195" formatCode="0.00000000000"/>
    <numFmt numFmtId="196" formatCode="0.00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mm/dd/yy;@"/>
    <numFmt numFmtId="202" formatCode="[$-409]dddd\,\ mmmm\ dd\,\ yyyy"/>
    <numFmt numFmtId="203" formatCode="mmm\-yyyy"/>
    <numFmt numFmtId="204" formatCode="_(&quot;$&quot;* #,##0.00000_);_(&quot;$&quot;* \(#,##0.00000\);_(&quot;$&quot;* &quot;-&quot;??_);_(@_)"/>
  </numFmts>
  <fonts count="39">
    <font>
      <sz val="10"/>
      <name val="Arial"/>
      <family val="0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4" fontId="1" fillId="0" borderId="10" xfId="59" applyNumberFormat="1" applyFont="1" applyBorder="1" applyAlignment="1">
      <alignment/>
    </xf>
    <xf numFmtId="174" fontId="1" fillId="0" borderId="0" xfId="59" applyNumberFormat="1" applyFont="1" applyAlignment="1">
      <alignment/>
    </xf>
    <xf numFmtId="0" fontId="1" fillId="0" borderId="10" xfId="0" applyFont="1" applyBorder="1" applyAlignment="1">
      <alignment wrapText="1"/>
    </xf>
    <xf numFmtId="176" fontId="1" fillId="0" borderId="10" xfId="42" applyNumberFormat="1" applyFont="1" applyBorder="1" applyAlignment="1">
      <alignment wrapText="1"/>
    </xf>
    <xf numFmtId="10" fontId="1" fillId="0" borderId="10" xfId="59" applyNumberFormat="1" applyFont="1" applyBorder="1" applyAlignment="1">
      <alignment wrapText="1"/>
    </xf>
    <xf numFmtId="0" fontId="1" fillId="0" borderId="0" xfId="0" applyFont="1" applyAlignment="1">
      <alignment wrapText="1"/>
    </xf>
    <xf numFmtId="172" fontId="1" fillId="0" borderId="10" xfId="42" applyNumberFormat="1" applyFont="1" applyBorder="1" applyAlignment="1">
      <alignment wrapText="1"/>
    </xf>
    <xf numFmtId="172" fontId="1" fillId="0" borderId="0" xfId="42" applyNumberFormat="1" applyFont="1" applyAlignment="1">
      <alignment/>
    </xf>
    <xf numFmtId="172" fontId="1" fillId="0" borderId="10" xfId="42" applyNumberFormat="1" applyFont="1" applyBorder="1" applyAlignment="1">
      <alignment/>
    </xf>
    <xf numFmtId="174" fontId="1" fillId="0" borderId="10" xfId="59" applyNumberFormat="1" applyFont="1" applyBorder="1" applyAlignment="1">
      <alignment wrapText="1"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170" fontId="1" fillId="0" borderId="0" xfId="44" applyFont="1" applyFill="1" applyAlignment="1">
      <alignment/>
    </xf>
    <xf numFmtId="172" fontId="1" fillId="0" borderId="0" xfId="42" applyNumberFormat="1" applyFont="1" applyAlignment="1">
      <alignment horizontal="left"/>
    </xf>
    <xf numFmtId="171" fontId="1" fillId="0" borderId="0" xfId="0" applyNumberFormat="1" applyFont="1" applyAlignment="1">
      <alignment/>
    </xf>
    <xf numFmtId="193" fontId="1" fillId="0" borderId="0" xfId="59" applyNumberFormat="1" applyFont="1" applyAlignment="1">
      <alignment/>
    </xf>
    <xf numFmtId="185" fontId="1" fillId="0" borderId="0" xfId="59" applyNumberFormat="1" applyFont="1" applyAlignment="1">
      <alignment/>
    </xf>
    <xf numFmtId="10" fontId="1" fillId="0" borderId="0" xfId="59" applyNumberFormat="1" applyFont="1" applyAlignment="1">
      <alignment/>
    </xf>
    <xf numFmtId="171" fontId="1" fillId="0" borderId="0" xfId="42" applyFont="1" applyAlignment="1">
      <alignment/>
    </xf>
    <xf numFmtId="170" fontId="1" fillId="33" borderId="11" xfId="44" applyFont="1" applyFill="1" applyBorder="1" applyAlignment="1">
      <alignment/>
    </xf>
    <xf numFmtId="10" fontId="1" fillId="33" borderId="11" xfId="59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170" fontId="1" fillId="0" borderId="0" xfId="44" applyFont="1" applyAlignment="1">
      <alignment/>
    </xf>
    <xf numFmtId="173" fontId="1" fillId="0" borderId="0" xfId="42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10" xfId="42" applyNumberFormat="1" applyFont="1" applyBorder="1" applyAlignment="1">
      <alignment wrapText="1"/>
    </xf>
    <xf numFmtId="173" fontId="1" fillId="0" borderId="10" xfId="42" applyNumberFormat="1" applyFont="1" applyBorder="1" applyAlignment="1">
      <alignment/>
    </xf>
    <xf numFmtId="173" fontId="1" fillId="0" borderId="0" xfId="42" applyNumberFormat="1" applyFont="1" applyAlignment="1">
      <alignment horizontal="left"/>
    </xf>
    <xf numFmtId="173" fontId="1" fillId="0" borderId="10" xfId="0" applyNumberFormat="1" applyFont="1" applyBorder="1" applyAlignment="1">
      <alignment/>
    </xf>
    <xf numFmtId="0" fontId="4" fillId="0" borderId="12" xfId="0" applyFont="1" applyBorder="1" applyAlignment="1">
      <alignment/>
    </xf>
    <xf numFmtId="173" fontId="4" fillId="0" borderId="12" xfId="0" applyNumberFormat="1" applyFont="1" applyBorder="1" applyAlignment="1">
      <alignment/>
    </xf>
    <xf numFmtId="173" fontId="4" fillId="0" borderId="12" xfId="42" applyNumberFormat="1" applyFont="1" applyBorder="1" applyAlignment="1">
      <alignment/>
    </xf>
    <xf numFmtId="10" fontId="4" fillId="0" borderId="12" xfId="0" applyNumberFormat="1" applyFont="1" applyBorder="1" applyAlignment="1">
      <alignment/>
    </xf>
    <xf numFmtId="182" fontId="1" fillId="34" borderId="13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tabSelected="1" zoomScaleSheetLayoutView="90" zoomScalePageLayoutView="0" workbookViewId="0" topLeftCell="A1">
      <selection activeCell="B20" sqref="B20"/>
    </sheetView>
  </sheetViews>
  <sheetFormatPr defaultColWidth="9.00390625" defaultRowHeight="12.75"/>
  <cols>
    <col min="1" max="1" width="12.28125" style="1" customWidth="1"/>
    <col min="2" max="2" width="46.7109375" style="1" customWidth="1"/>
    <col min="3" max="3" width="15.7109375" style="27" customWidth="1"/>
    <col min="4" max="4" width="11.28125" style="4" customWidth="1"/>
    <col min="5" max="5" width="14.00390625" style="4" customWidth="1"/>
    <col min="6" max="6" width="15.00390625" style="27" customWidth="1"/>
    <col min="7" max="7" width="14.421875" style="1" customWidth="1"/>
    <col min="8" max="8" width="17.421875" style="1" customWidth="1"/>
    <col min="9" max="9" width="14.421875" style="1" customWidth="1"/>
    <col min="10" max="16384" width="9.00390625" style="1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40</v>
      </c>
    </row>
    <row r="4" spans="1:9" s="8" customFormat="1" ht="27.75" customHeight="1">
      <c r="A4" s="5"/>
      <c r="B4" s="5"/>
      <c r="C4" s="29" t="s">
        <v>1</v>
      </c>
      <c r="D4" s="12" t="s">
        <v>2</v>
      </c>
      <c r="E4" s="12" t="s">
        <v>18</v>
      </c>
      <c r="F4" s="29" t="s">
        <v>21</v>
      </c>
      <c r="G4" s="7" t="s">
        <v>3</v>
      </c>
      <c r="H4" s="6" t="s">
        <v>20</v>
      </c>
      <c r="I4" s="7" t="s">
        <v>4</v>
      </c>
    </row>
    <row r="5" ht="12.75">
      <c r="A5" s="1" t="s">
        <v>0</v>
      </c>
    </row>
    <row r="6" spans="2:9" ht="12.75">
      <c r="B6" s="1" t="s">
        <v>7</v>
      </c>
      <c r="C6" s="27">
        <v>0</v>
      </c>
      <c r="D6" s="4">
        <f>SUM(C6:C6)/SUM(C$20:C$20)</f>
        <v>0</v>
      </c>
      <c r="E6" s="4">
        <f>C6/(C$20-C$18-C$17)</f>
        <v>0</v>
      </c>
      <c r="F6" s="27">
        <v>5000000</v>
      </c>
      <c r="G6" s="4">
        <f>F6/F$20</f>
        <v>0.15873015873015872</v>
      </c>
      <c r="H6" s="28">
        <f>C6+F6</f>
        <v>5000000</v>
      </c>
      <c r="I6" s="4">
        <f>H6/H$20</f>
        <v>0.11494252873563218</v>
      </c>
    </row>
    <row r="7" spans="2:9" ht="12.75">
      <c r="B7" s="1" t="s">
        <v>8</v>
      </c>
      <c r="C7" s="27">
        <v>0</v>
      </c>
      <c r="D7" s="4">
        <f>SUM(C7:C7)/SUM(C$20:C$20)</f>
        <v>0</v>
      </c>
      <c r="E7" s="4">
        <f>C7/(C$20-C$18-C$17)</f>
        <v>0</v>
      </c>
      <c r="F7" s="27">
        <v>25000000</v>
      </c>
      <c r="G7" s="4">
        <f>F7/F$20</f>
        <v>0.7936507936507936</v>
      </c>
      <c r="H7" s="28">
        <f>C7+F7</f>
        <v>25000000</v>
      </c>
      <c r="I7" s="4">
        <f>H7/H$20</f>
        <v>0.5747126436781609</v>
      </c>
    </row>
    <row r="8" spans="2:9" ht="12.75">
      <c r="B8" s="1" t="s">
        <v>9</v>
      </c>
      <c r="C8" s="27">
        <v>0</v>
      </c>
      <c r="D8" s="4">
        <f>SUM(C8:C8)/SUM(C$20:C$20)</f>
        <v>0</v>
      </c>
      <c r="E8" s="4">
        <f>C8/(C$20-C$18-C$17)</f>
        <v>0</v>
      </c>
      <c r="F8" s="27">
        <v>1000000</v>
      </c>
      <c r="G8" s="4">
        <f>F8/F$20</f>
        <v>0.031746031746031744</v>
      </c>
      <c r="H8" s="28">
        <f>C8+F8</f>
        <v>1000000</v>
      </c>
      <c r="I8" s="4">
        <f>H8/H$20</f>
        <v>0.022988505747126436</v>
      </c>
    </row>
    <row r="9" spans="2:9" ht="12.75">
      <c r="B9" s="1" t="s">
        <v>10</v>
      </c>
      <c r="C9" s="27">
        <v>0</v>
      </c>
      <c r="D9" s="4">
        <f>SUM(C9:C9)/SUM(C$20:C$20)</f>
        <v>0</v>
      </c>
      <c r="E9" s="4">
        <f>C9/(C$20-C$18-C$17)</f>
        <v>0</v>
      </c>
      <c r="F9" s="27">
        <v>250000</v>
      </c>
      <c r="G9" s="4">
        <f>F9/F$20</f>
        <v>0.007936507936507936</v>
      </c>
      <c r="H9" s="28">
        <f>C9+F9</f>
        <v>250000</v>
      </c>
      <c r="I9" s="4">
        <f>H9/H$20</f>
        <v>0.005747126436781609</v>
      </c>
    </row>
    <row r="10" spans="2:9" ht="12.75">
      <c r="B10" s="1" t="s">
        <v>11</v>
      </c>
      <c r="C10" s="27">
        <v>0</v>
      </c>
      <c r="D10" s="4">
        <f>SUM(C10:C10)/SUM(C$20:C$20)</f>
        <v>0</v>
      </c>
      <c r="E10" s="4">
        <f>C10/(C$20-C$18-C$17)</f>
        <v>0</v>
      </c>
      <c r="F10" s="27">
        <v>250000</v>
      </c>
      <c r="G10" s="4">
        <f>F10/F$20</f>
        <v>0.007936507936507936</v>
      </c>
      <c r="H10" s="28">
        <f>C10+F10</f>
        <v>250000</v>
      </c>
      <c r="I10" s="4">
        <f>H10/H$20</f>
        <v>0.005747126436781609</v>
      </c>
    </row>
    <row r="11" ht="12.75">
      <c r="H11" s="28"/>
    </row>
    <row r="12" spans="1:8" ht="12.75">
      <c r="A12" s="1" t="s">
        <v>12</v>
      </c>
      <c r="H12" s="28"/>
    </row>
    <row r="13" spans="2:9" ht="12.75">
      <c r="B13" s="1" t="s">
        <v>13</v>
      </c>
      <c r="C13" s="27">
        <v>5000000</v>
      </c>
      <c r="D13" s="4">
        <f>SUM(C13:C13)/SUM(C$20:C$20)</f>
        <v>0.4166666666666667</v>
      </c>
      <c r="E13" s="4">
        <f>C13/(C$20-C$18-C$17)</f>
        <v>0.5</v>
      </c>
      <c r="F13" s="27">
        <v>0</v>
      </c>
      <c r="G13" s="4">
        <f>F13/F$20</f>
        <v>0</v>
      </c>
      <c r="H13" s="28">
        <f>C13+F13</f>
        <v>5000000</v>
      </c>
      <c r="I13" s="4">
        <f>H13/H$20</f>
        <v>0.11494252873563218</v>
      </c>
    </row>
    <row r="14" spans="2:9" ht="12.75">
      <c r="B14" s="1" t="s">
        <v>14</v>
      </c>
      <c r="C14" s="27">
        <v>5000000</v>
      </c>
      <c r="D14" s="4">
        <f>SUM(C14:C14)/SUM(C$20:C$20)</f>
        <v>0.4166666666666667</v>
      </c>
      <c r="E14" s="4">
        <f>C14/(C$20-C$18-C$17)</f>
        <v>0.5</v>
      </c>
      <c r="F14" s="27">
        <v>0</v>
      </c>
      <c r="G14" s="4">
        <f>F14/F$20</f>
        <v>0</v>
      </c>
      <c r="H14" s="28">
        <f>C14+F14</f>
        <v>5000000</v>
      </c>
      <c r="I14" s="4">
        <f>H14/H$20</f>
        <v>0.11494252873563218</v>
      </c>
    </row>
    <row r="15" spans="7:9" ht="12.75">
      <c r="G15" s="4"/>
      <c r="H15" s="28"/>
      <c r="I15" s="4"/>
    </row>
    <row r="16" spans="1:8" ht="12.75">
      <c r="A16" s="1" t="s">
        <v>15</v>
      </c>
      <c r="C16" s="28"/>
      <c r="D16" s="1"/>
      <c r="E16" s="1"/>
      <c r="F16" s="28"/>
      <c r="H16" s="28"/>
    </row>
    <row r="17" spans="2:9" ht="12.75">
      <c r="B17" s="1" t="s">
        <v>17</v>
      </c>
      <c r="C17" s="27">
        <v>1000000</v>
      </c>
      <c r="D17" s="4">
        <f>SUM(C17:C17)/SUM(C$20:C$20)</f>
        <v>0.08333333333333333</v>
      </c>
      <c r="E17" s="4" t="s">
        <v>19</v>
      </c>
      <c r="F17" s="27">
        <v>0</v>
      </c>
      <c r="G17" s="4">
        <f>F17/F$20</f>
        <v>0</v>
      </c>
      <c r="H17" s="28">
        <f>C17+F17</f>
        <v>1000000</v>
      </c>
      <c r="I17" s="4">
        <f>H17/H$20</f>
        <v>0.022988505747126436</v>
      </c>
    </row>
    <row r="18" spans="2:9" ht="12.75">
      <c r="B18" s="1" t="s">
        <v>16</v>
      </c>
      <c r="C18" s="27">
        <f>2000000-C17</f>
        <v>1000000</v>
      </c>
      <c r="D18" s="4">
        <f>SUM(C18:C18)/SUM(C$20:C$20)</f>
        <v>0.08333333333333333</v>
      </c>
      <c r="E18" s="4" t="s">
        <v>19</v>
      </c>
      <c r="F18" s="27">
        <v>0</v>
      </c>
      <c r="G18" s="4">
        <f>F18/F$20</f>
        <v>0</v>
      </c>
      <c r="H18" s="28">
        <f>C18+F18</f>
        <v>1000000</v>
      </c>
      <c r="I18" s="4">
        <f>H18/H$20</f>
        <v>0.022988505747126436</v>
      </c>
    </row>
    <row r="19" spans="3:35" s="2" customFormat="1" ht="12.75">
      <c r="C19" s="30"/>
      <c r="D19" s="3"/>
      <c r="E19" s="3"/>
      <c r="F19" s="30"/>
      <c r="H19" s="32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3:35" ht="12.75">
      <c r="C20" s="27">
        <f aca="true" t="shared" si="0" ref="C20:I20">SUM(C5:C19)</f>
        <v>12000000</v>
      </c>
      <c r="D20" s="4">
        <f t="shared" si="0"/>
        <v>1</v>
      </c>
      <c r="E20" s="4">
        <f>SUM(E6:E14)</f>
        <v>1</v>
      </c>
      <c r="F20" s="27">
        <f t="shared" si="0"/>
        <v>31500000</v>
      </c>
      <c r="G20" s="4">
        <f t="shared" si="0"/>
        <v>0.9999999999999999</v>
      </c>
      <c r="H20" s="27">
        <f t="shared" si="0"/>
        <v>43500000</v>
      </c>
      <c r="I20" s="4">
        <f t="shared" si="0"/>
        <v>0.9999999999999999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0:35" ht="12.75"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8:9" ht="12.75">
      <c r="H22" s="15"/>
      <c r="I22" s="15"/>
    </row>
    <row r="23" spans="1:9" ht="12.75">
      <c r="A23" s="1" t="s">
        <v>22</v>
      </c>
      <c r="H23" s="15"/>
      <c r="I23" s="16"/>
    </row>
    <row r="24" spans="1:9" ht="12.75">
      <c r="A24" s="1" t="s">
        <v>23</v>
      </c>
      <c r="I24" s="13"/>
    </row>
    <row r="25" spans="1:9" ht="12.75">
      <c r="A25" s="1" t="s">
        <v>24</v>
      </c>
      <c r="I25" s="21"/>
    </row>
    <row r="27" ht="12.75">
      <c r="A27" s="20"/>
    </row>
    <row r="28" ht="12.75">
      <c r="G28" s="18"/>
    </row>
    <row r="29" spans="6:7" ht="12.75">
      <c r="F29" s="31"/>
      <c r="G29" s="18"/>
    </row>
    <row r="33" spans="4:5" ht="12.75">
      <c r="D33" s="19"/>
      <c r="E33" s="19"/>
    </row>
    <row r="34" spans="4:5" ht="12.75">
      <c r="D34" s="19"/>
      <c r="E34" s="19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12.8515625" style="1" customWidth="1"/>
    <col min="2" max="2" width="20.140625" style="1" customWidth="1"/>
    <col min="3" max="3" width="15.7109375" style="1" customWidth="1"/>
    <col min="4" max="4" width="10.57421875" style="1" customWidth="1"/>
    <col min="5" max="16384" width="9.140625" style="1" customWidth="1"/>
  </cols>
  <sheetData>
    <row r="1" spans="1:4" ht="12.75">
      <c r="A1" s="1" t="s">
        <v>29</v>
      </c>
      <c r="C1" s="23">
        <v>10000000</v>
      </c>
      <c r="D1" s="1" t="s">
        <v>56</v>
      </c>
    </row>
    <row r="3" spans="1:4" ht="12.75">
      <c r="A3" s="1" t="s">
        <v>28</v>
      </c>
      <c r="C3" s="23">
        <v>1000000</v>
      </c>
      <c r="D3" s="21"/>
    </row>
    <row r="5" spans="1:3" ht="12.75">
      <c r="A5" s="1" t="s">
        <v>27</v>
      </c>
      <c r="C5" s="24">
        <v>0.1</v>
      </c>
    </row>
    <row r="7" spans="1:3" ht="12.75">
      <c r="A7" s="1" t="s">
        <v>57</v>
      </c>
      <c r="C7" s="25">
        <f>C1+C3</f>
        <v>11000000</v>
      </c>
    </row>
    <row r="9" spans="1:4" ht="12.75">
      <c r="A9" s="1" t="s">
        <v>42</v>
      </c>
      <c r="C9" s="25">
        <f>C7*C5</f>
        <v>1100000</v>
      </c>
      <c r="D9" s="1" t="s">
        <v>41</v>
      </c>
    </row>
    <row r="11" spans="1:3" ht="12.75">
      <c r="A11" s="1" t="s">
        <v>58</v>
      </c>
      <c r="C11" s="25">
        <f>C1-C9</f>
        <v>8900000</v>
      </c>
    </row>
    <row r="12" ht="12.75">
      <c r="C12" s="25"/>
    </row>
    <row r="13" ht="12.75">
      <c r="A13" s="1" t="s">
        <v>55</v>
      </c>
    </row>
    <row r="14" spans="2:4" ht="12.75">
      <c r="B14" s="1" t="s">
        <v>31</v>
      </c>
      <c r="C14" s="27">
        <f>'Pre-$ Capitalization'!F20</f>
        <v>31500000</v>
      </c>
      <c r="D14" s="21">
        <f>C14/$C$18</f>
        <v>0.7241379310344828</v>
      </c>
    </row>
    <row r="15" spans="2:4" ht="12.75">
      <c r="B15" s="1" t="s">
        <v>1</v>
      </c>
      <c r="C15" s="27">
        <f>'Pre-$ Capitalization'!C20-'Pre-$ Capitalization'!C18-'Pre-$ Capitalization'!C17</f>
        <v>10000000</v>
      </c>
      <c r="D15" s="21">
        <f>C15/$C$18</f>
        <v>0.22988505747126436</v>
      </c>
    </row>
    <row r="16" spans="2:4" ht="12.75">
      <c r="B16" s="1" t="s">
        <v>25</v>
      </c>
      <c r="C16" s="27">
        <f>'Pre-$ Capitalization'!C17</f>
        <v>1000000</v>
      </c>
      <c r="D16" s="21">
        <f>C16/$C$18</f>
        <v>0.022988505747126436</v>
      </c>
    </row>
    <row r="17" spans="2:4" ht="12.75">
      <c r="B17" s="1" t="s">
        <v>26</v>
      </c>
      <c r="C17" s="27">
        <f>'Pre-$ Capitalization'!C18</f>
        <v>1000000</v>
      </c>
      <c r="D17" s="21">
        <f>C17/$C$18</f>
        <v>0.022988505747126436</v>
      </c>
    </row>
    <row r="18" spans="2:4" ht="12.75" thickBot="1">
      <c r="B18" s="33" t="s">
        <v>54</v>
      </c>
      <c r="C18" s="35">
        <f>SUM(C14:C17)</f>
        <v>43500000</v>
      </c>
      <c r="D18" s="36">
        <f>SUM(D14:D17)</f>
        <v>1</v>
      </c>
    </row>
    <row r="19" ht="12.75" thickTop="1">
      <c r="C19" s="27"/>
    </row>
    <row r="20" spans="1:4" ht="12.75">
      <c r="A20" s="1" t="s">
        <v>43</v>
      </c>
      <c r="C20" s="27">
        <f>C18-C17</f>
        <v>42500000</v>
      </c>
      <c r="D20" s="1" t="s">
        <v>50</v>
      </c>
    </row>
    <row r="21" ht="12.75" thickBot="1">
      <c r="C21" s="28"/>
    </row>
    <row r="22" spans="1:3" ht="12.75" thickBot="1">
      <c r="A22" s="1" t="s">
        <v>30</v>
      </c>
      <c r="C22" s="37">
        <f>ROUND(C11/C20,5)</f>
        <v>0.20941</v>
      </c>
    </row>
    <row r="23" ht="12.75">
      <c r="C23" s="28"/>
    </row>
    <row r="24" spans="1:3" ht="12.75">
      <c r="A24" s="1" t="s">
        <v>53</v>
      </c>
      <c r="C24" s="27">
        <f>ROUNDUP(C3/C22,0)</f>
        <v>4775322</v>
      </c>
    </row>
    <row r="25" spans="1:3" ht="12.75">
      <c r="A25" s="1" t="s">
        <v>44</v>
      </c>
      <c r="C25" s="27">
        <f>ROUNDUP(C9/C22,0)-C17</f>
        <v>4252854</v>
      </c>
    </row>
    <row r="26" spans="1:4" ht="12.75">
      <c r="A26" s="1" t="s">
        <v>45</v>
      </c>
      <c r="C26" s="27">
        <f>C18+C24+C25</f>
        <v>52528176</v>
      </c>
      <c r="D26" s="26"/>
    </row>
    <row r="28" ht="12.75">
      <c r="A28" s="1" t="s">
        <v>46</v>
      </c>
    </row>
    <row r="30" spans="1:3" ht="12.75">
      <c r="A30" s="1" t="s">
        <v>47</v>
      </c>
      <c r="C30" s="26">
        <f>C26*C22</f>
        <v>10999925.33616</v>
      </c>
    </row>
    <row r="31" spans="1:3" ht="12.75">
      <c r="A31" s="1" t="s">
        <v>48</v>
      </c>
      <c r="C31" s="21">
        <f>(C17+C25)/C26</f>
        <v>0.10000069296143083</v>
      </c>
    </row>
    <row r="32" spans="1:3" ht="12.75">
      <c r="A32" s="1" t="s">
        <v>49</v>
      </c>
      <c r="C32" s="21">
        <f>C24/C26</f>
        <v>0.09090972433537384</v>
      </c>
    </row>
    <row r="35" ht="12.75">
      <c r="A35" s="1" t="s">
        <v>51</v>
      </c>
    </row>
    <row r="36" spans="2:4" ht="12.75">
      <c r="B36" s="1" t="s">
        <v>31</v>
      </c>
      <c r="C36" s="28">
        <f>C14</f>
        <v>31500000</v>
      </c>
      <c r="D36" s="21">
        <f>C36/$C$41</f>
        <v>0.5996781612976624</v>
      </c>
    </row>
    <row r="37" spans="2:4" ht="12.75">
      <c r="B37" s="1" t="s">
        <v>52</v>
      </c>
      <c r="C37" s="28">
        <f>C24</f>
        <v>4775322</v>
      </c>
      <c r="D37" s="21">
        <f>C37/$C$41</f>
        <v>0.09090972433537384</v>
      </c>
    </row>
    <row r="38" spans="2:4" ht="12.75">
      <c r="B38" s="1" t="s">
        <v>1</v>
      </c>
      <c r="C38" s="28">
        <f>C15</f>
        <v>10000000</v>
      </c>
      <c r="D38" s="21">
        <f>C38/$C$41</f>
        <v>0.19037401945957538</v>
      </c>
    </row>
    <row r="39" spans="2:4" ht="12.75">
      <c r="B39" s="1" t="s">
        <v>25</v>
      </c>
      <c r="C39" s="28">
        <f>C16</f>
        <v>1000000</v>
      </c>
      <c r="D39" s="21">
        <f>C39/$C$41</f>
        <v>0.019037401945957537</v>
      </c>
    </row>
    <row r="40" spans="2:4" ht="12.75">
      <c r="B40" s="1" t="s">
        <v>26</v>
      </c>
      <c r="C40" s="28">
        <f>C17+C25</f>
        <v>5252854</v>
      </c>
      <c r="D40" s="21">
        <f>C40/$C$41</f>
        <v>0.10000069296143083</v>
      </c>
    </row>
    <row r="41" spans="2:4" ht="12.75" thickBot="1">
      <c r="B41" s="33" t="s">
        <v>54</v>
      </c>
      <c r="C41" s="34">
        <f>SUM(C36:C40)</f>
        <v>52528176</v>
      </c>
      <c r="D41" s="36">
        <f>SUM(D36:D40)</f>
        <v>1</v>
      </c>
    </row>
    <row r="42" ht="12.7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7"/>
  <sheetViews>
    <sheetView zoomScaleSheetLayoutView="90" zoomScalePageLayoutView="0" workbookViewId="0" topLeftCell="A1">
      <selection activeCell="D18" sqref="D18"/>
    </sheetView>
  </sheetViews>
  <sheetFormatPr defaultColWidth="9.00390625" defaultRowHeight="12.75"/>
  <cols>
    <col min="1" max="1" width="12.28125" style="1" customWidth="1"/>
    <col min="2" max="2" width="46.7109375" style="1" customWidth="1"/>
    <col min="3" max="3" width="15.7109375" style="10" customWidth="1"/>
    <col min="4" max="4" width="11.28125" style="4" customWidth="1"/>
    <col min="5" max="5" width="14.00390625" style="4" customWidth="1"/>
    <col min="6" max="6" width="15.8515625" style="10" bestFit="1" customWidth="1"/>
    <col min="7" max="7" width="14.421875" style="1" customWidth="1"/>
    <col min="8" max="8" width="16.00390625" style="1" bestFit="1" customWidth="1"/>
    <col min="9" max="10" width="14.421875" style="1" customWidth="1"/>
    <col min="11" max="11" width="17.421875" style="1" customWidth="1"/>
    <col min="12" max="12" width="14.421875" style="1" customWidth="1"/>
    <col min="13" max="16384" width="9.00390625" style="1" customWidth="1"/>
  </cols>
  <sheetData>
    <row r="1" ht="12.75">
      <c r="A1" s="1" t="s">
        <v>5</v>
      </c>
    </row>
    <row r="2" ht="12.75">
      <c r="A2" s="1" t="s">
        <v>6</v>
      </c>
    </row>
    <row r="3" ht="12.75">
      <c r="A3" s="1" t="s">
        <v>39</v>
      </c>
    </row>
    <row r="4" spans="1:12" s="8" customFormat="1" ht="27.75" customHeight="1">
      <c r="A4" s="5"/>
      <c r="B4" s="5"/>
      <c r="C4" s="9" t="s">
        <v>1</v>
      </c>
      <c r="D4" s="12" t="s">
        <v>2</v>
      </c>
      <c r="E4" s="12" t="s">
        <v>18</v>
      </c>
      <c r="F4" s="9" t="s">
        <v>21</v>
      </c>
      <c r="G4" s="7" t="s">
        <v>3</v>
      </c>
      <c r="H4" s="7" t="s">
        <v>33</v>
      </c>
      <c r="I4" s="7" t="s">
        <v>34</v>
      </c>
      <c r="J4" s="7" t="s">
        <v>35</v>
      </c>
      <c r="K4" s="6" t="s">
        <v>20</v>
      </c>
      <c r="L4" s="7" t="s">
        <v>4</v>
      </c>
    </row>
    <row r="5" ht="12.75">
      <c r="A5" s="1" t="s">
        <v>0</v>
      </c>
    </row>
    <row r="6" spans="2:12" ht="12.75">
      <c r="B6" s="1" t="s">
        <v>32</v>
      </c>
      <c r="C6" s="22">
        <f>'Pre-$ Capitalization'!C6</f>
        <v>0</v>
      </c>
      <c r="D6" s="4">
        <f>SUM(C6:C6)/SUM(C$23:C$23)</f>
        <v>0</v>
      </c>
      <c r="E6" s="4">
        <f>C6/(C$23-C$20-C$19)</f>
        <v>0</v>
      </c>
      <c r="F6" s="10">
        <v>0</v>
      </c>
      <c r="G6" s="4">
        <f>F6/F$23</f>
        <v>0</v>
      </c>
      <c r="H6" s="10">
        <f>'New Up-Round Pricing Model'!C24</f>
        <v>4775322</v>
      </c>
      <c r="I6" s="4">
        <f>H6/H$23</f>
        <v>1</v>
      </c>
      <c r="J6" s="4">
        <f>(F6+H6)/(F$23+H$23)</f>
        <v>0.11569436090650001</v>
      </c>
      <c r="K6" s="13">
        <f>C6+F6+H6</f>
        <v>4775322</v>
      </c>
      <c r="L6" s="4">
        <f>K6/K$23</f>
        <v>0.08300840269992221</v>
      </c>
    </row>
    <row r="7" spans="3:12" ht="12.75">
      <c r="C7" s="22"/>
      <c r="G7" s="4"/>
      <c r="H7" s="4"/>
      <c r="I7" s="4"/>
      <c r="J7" s="4"/>
      <c r="K7" s="13"/>
      <c r="L7" s="4"/>
    </row>
    <row r="8" spans="2:12" ht="12.75">
      <c r="B8" s="1" t="s">
        <v>7</v>
      </c>
      <c r="C8" s="22">
        <f>'Pre-$ Capitalization'!C7</f>
        <v>0</v>
      </c>
      <c r="D8" s="4">
        <f>SUM(C8:C8)/SUM(C$23:C$23)</f>
        <v>0</v>
      </c>
      <c r="E8" s="4">
        <f>C8/(C$23-C$20-C$19)</f>
        <v>0</v>
      </c>
      <c r="F8" s="10">
        <v>10000000</v>
      </c>
      <c r="G8" s="4">
        <f>F8/F$23</f>
        <v>0.273972602739726</v>
      </c>
      <c r="H8" s="22">
        <v>0</v>
      </c>
      <c r="I8" s="4">
        <f>H8/H$23</f>
        <v>0</v>
      </c>
      <c r="J8" s="4">
        <f>(F8+H8)/(F$23+H$23)</f>
        <v>0.242275517559863</v>
      </c>
      <c r="K8" s="13">
        <f>C8+F8+H8</f>
        <v>10000000</v>
      </c>
      <c r="L8" s="4">
        <f>K8/K$23</f>
        <v>0.17382786480141488</v>
      </c>
    </row>
    <row r="9" spans="2:12" ht="12.75">
      <c r="B9" s="1" t="s">
        <v>8</v>
      </c>
      <c r="C9" s="22">
        <f>'Pre-$ Capitalization'!C7</f>
        <v>0</v>
      </c>
      <c r="D9" s="4">
        <f>SUM(C9:C9)/SUM(C$23:C$23)</f>
        <v>0</v>
      </c>
      <c r="E9" s="4">
        <f>C9/(C$23-C$20-C$19)</f>
        <v>0</v>
      </c>
      <c r="F9" s="10">
        <v>25000000</v>
      </c>
      <c r="G9" s="4">
        <f>F9/F$23</f>
        <v>0.684931506849315</v>
      </c>
      <c r="H9" s="22">
        <v>0</v>
      </c>
      <c r="I9" s="4">
        <f>H9/H$23</f>
        <v>0</v>
      </c>
      <c r="J9" s="4">
        <f>(F9+H9)/(F$23+H$23)</f>
        <v>0.6056887938996576</v>
      </c>
      <c r="K9" s="13">
        <f>C9+F9+H9</f>
        <v>25000000</v>
      </c>
      <c r="L9" s="4">
        <f>K9/K$23</f>
        <v>0.4345696620035372</v>
      </c>
    </row>
    <row r="10" spans="2:12" ht="12.75">
      <c r="B10" s="1" t="s">
        <v>9</v>
      </c>
      <c r="C10" s="22">
        <f>'Pre-$ Capitalization'!C8</f>
        <v>0</v>
      </c>
      <c r="D10" s="4">
        <f>SUM(C10:C10)/SUM(C$23:C$23)</f>
        <v>0</v>
      </c>
      <c r="E10" s="4">
        <f>C10/(C$23-C$20-C$19)</f>
        <v>0</v>
      </c>
      <c r="F10" s="10">
        <v>1000000</v>
      </c>
      <c r="G10" s="4">
        <f>F10/F$23</f>
        <v>0.0273972602739726</v>
      </c>
      <c r="H10" s="22">
        <v>0</v>
      </c>
      <c r="I10" s="4">
        <f>H10/H$23</f>
        <v>0</v>
      </c>
      <c r="J10" s="4">
        <f>(F10+H10)/(F$23+H$23)</f>
        <v>0.0242275517559863</v>
      </c>
      <c r="K10" s="13">
        <f>C10+F10+H10</f>
        <v>1000000</v>
      </c>
      <c r="L10" s="4">
        <f>K10/K$23</f>
        <v>0.017382786480141486</v>
      </c>
    </row>
    <row r="11" spans="2:12" ht="12.75">
      <c r="B11" s="1" t="s">
        <v>10</v>
      </c>
      <c r="C11" s="22">
        <f>'Pre-$ Capitalization'!C9</f>
        <v>0</v>
      </c>
      <c r="D11" s="4">
        <f>SUM(C11:C11)/SUM(C$23:C$23)</f>
        <v>0</v>
      </c>
      <c r="E11" s="4">
        <f>C11/(C$23-C$20-C$19)</f>
        <v>0</v>
      </c>
      <c r="F11" s="10">
        <v>250000</v>
      </c>
      <c r="G11" s="4">
        <f>F11/F$23</f>
        <v>0.00684931506849315</v>
      </c>
      <c r="H11" s="22">
        <v>0</v>
      </c>
      <c r="I11" s="4">
        <f>H11/H$23</f>
        <v>0</v>
      </c>
      <c r="J11" s="4">
        <f>(F11+H11)/(F$23+H$23)</f>
        <v>0.006056887938996575</v>
      </c>
      <c r="K11" s="13">
        <f>C11+F11+H11</f>
        <v>250000</v>
      </c>
      <c r="L11" s="4">
        <f>K11/K$23</f>
        <v>0.004345696620035372</v>
      </c>
    </row>
    <row r="12" spans="2:12" ht="12.75">
      <c r="B12" s="1" t="s">
        <v>11</v>
      </c>
      <c r="C12" s="22">
        <f>'Pre-$ Capitalization'!C10</f>
        <v>0</v>
      </c>
      <c r="D12" s="4">
        <f>SUM(C12:C12)/SUM(C$23:C$23)</f>
        <v>0</v>
      </c>
      <c r="E12" s="4">
        <f>C12/(C$23-C$20-C$19)</f>
        <v>0</v>
      </c>
      <c r="F12" s="10">
        <v>250000</v>
      </c>
      <c r="G12" s="4">
        <f>F12/F$23</f>
        <v>0.00684931506849315</v>
      </c>
      <c r="H12" s="22">
        <v>0</v>
      </c>
      <c r="I12" s="4">
        <f>H12/H$23</f>
        <v>0</v>
      </c>
      <c r="J12" s="4">
        <f>(F12+H12)/(F$23+H$23)</f>
        <v>0.006056887938996575</v>
      </c>
      <c r="K12" s="13">
        <f>C12+F12+H12</f>
        <v>250000</v>
      </c>
      <c r="L12" s="4">
        <f>K12/K$23</f>
        <v>0.004345696620035372</v>
      </c>
    </row>
    <row r="14" ht="12.75">
      <c r="A14" s="1" t="s">
        <v>12</v>
      </c>
    </row>
    <row r="15" spans="2:12" ht="12.75">
      <c r="B15" s="1" t="s">
        <v>13</v>
      </c>
      <c r="C15" s="10">
        <f>'Pre-$ Capitalization'!C13</f>
        <v>5000000</v>
      </c>
      <c r="D15" s="4">
        <f>SUM(C15:C15)/SUM(C$23:C$23)</f>
        <v>0.307638276945083</v>
      </c>
      <c r="E15" s="4">
        <f>C15/(C$23-C$20-C$19)</f>
        <v>0.3508069331237098</v>
      </c>
      <c r="F15" s="10">
        <f>'Pre-$ Capitalization'!F13</f>
        <v>0</v>
      </c>
      <c r="G15" s="4">
        <f>F15/F$23</f>
        <v>0</v>
      </c>
      <c r="H15" s="22">
        <v>0</v>
      </c>
      <c r="I15" s="4">
        <f>H15/H$23</f>
        <v>0</v>
      </c>
      <c r="J15" s="4">
        <f>(F15+H15)/(F$23+H$23)</f>
        <v>0</v>
      </c>
      <c r="K15" s="13">
        <f>C15+F15+H15</f>
        <v>5000000</v>
      </c>
      <c r="L15" s="4">
        <f>K15/K$23</f>
        <v>0.08691393240070744</v>
      </c>
    </row>
    <row r="16" spans="2:12" ht="12.75">
      <c r="B16" s="1" t="s">
        <v>14</v>
      </c>
      <c r="C16" s="10">
        <f>'Pre-$ Capitalization'!C14</f>
        <v>5000000</v>
      </c>
      <c r="D16" s="4">
        <f>SUM(C16:C16)/SUM(C$23:C$23)</f>
        <v>0.307638276945083</v>
      </c>
      <c r="E16" s="4">
        <f>C16/(C$23-C$20-C$19)</f>
        <v>0.3508069331237098</v>
      </c>
      <c r="F16" s="10">
        <f>'Pre-$ Capitalization'!F14</f>
        <v>0</v>
      </c>
      <c r="G16" s="4">
        <f>F16/F$23</f>
        <v>0</v>
      </c>
      <c r="H16" s="22">
        <v>0</v>
      </c>
      <c r="I16" s="4">
        <f>H16/H$23</f>
        <v>0</v>
      </c>
      <c r="J16" s="4">
        <f>(F16+H16)/(F$23+H$23)</f>
        <v>0</v>
      </c>
      <c r="K16" s="13">
        <f>C16+F16+H16</f>
        <v>5000000</v>
      </c>
      <c r="L16" s="4">
        <f>K16/K$23</f>
        <v>0.08691393240070744</v>
      </c>
    </row>
    <row r="17" spans="7:12" ht="12.75">
      <c r="G17" s="4"/>
      <c r="H17" s="4"/>
      <c r="I17" s="4"/>
      <c r="J17" s="4"/>
      <c r="K17" s="13"/>
      <c r="L17" s="4"/>
    </row>
    <row r="18" spans="1:6" ht="12.75">
      <c r="A18" s="1" t="s">
        <v>15</v>
      </c>
      <c r="C18" s="13"/>
      <c r="D18" s="1"/>
      <c r="E18" s="1"/>
      <c r="F18" s="13"/>
    </row>
    <row r="19" spans="2:12" ht="12.75">
      <c r="B19" s="1" t="s">
        <v>17</v>
      </c>
      <c r="C19" s="10">
        <f>'Pre-$ Capitalization'!C17</f>
        <v>1000000</v>
      </c>
      <c r="D19" s="4">
        <f>SUM(C19:C19)/SUM(C$23:C$23)</f>
        <v>0.0615276553890166</v>
      </c>
      <c r="E19" s="4" t="s">
        <v>19</v>
      </c>
      <c r="F19" s="10">
        <f>'Pre-$ Capitalization'!F17</f>
        <v>0</v>
      </c>
      <c r="G19" s="4">
        <f>F19/F$23</f>
        <v>0</v>
      </c>
      <c r="H19" s="22">
        <v>0</v>
      </c>
      <c r="I19" s="4">
        <f>H19/H$23</f>
        <v>0</v>
      </c>
      <c r="J19" s="4">
        <f>(F19+H19)/(F$23+H$23)</f>
        <v>0</v>
      </c>
      <c r="K19" s="13">
        <f>C19+F19+H19</f>
        <v>1000000</v>
      </c>
      <c r="L19" s="4">
        <f>K19/K$23</f>
        <v>0.017382786480141486</v>
      </c>
    </row>
    <row r="20" spans="2:12" ht="12.75">
      <c r="B20" s="1" t="s">
        <v>16</v>
      </c>
      <c r="C20" s="10">
        <f>'Pre-$ Capitalization'!C18</f>
        <v>1000000</v>
      </c>
      <c r="D20" s="4">
        <f>SUM(C20:C20)/SUM(C$23:C$23)</f>
        <v>0.0615276553890166</v>
      </c>
      <c r="E20" s="4" t="s">
        <v>19</v>
      </c>
      <c r="F20" s="10">
        <f>'Pre-$ Capitalization'!F18</f>
        <v>0</v>
      </c>
      <c r="G20" s="4">
        <f>F20/F$23</f>
        <v>0</v>
      </c>
      <c r="H20" s="22">
        <v>0</v>
      </c>
      <c r="I20" s="4">
        <f>H20/H$23</f>
        <v>0</v>
      </c>
      <c r="J20" s="4">
        <f>(F20+H20)/(F$23+H$23)</f>
        <v>0</v>
      </c>
      <c r="K20" s="13">
        <f>C20+F20+H20</f>
        <v>1000000</v>
      </c>
      <c r="L20" s="4">
        <f>K20/K$23</f>
        <v>0.017382786480141486</v>
      </c>
    </row>
    <row r="21" spans="2:12" ht="12.75">
      <c r="B21" s="1" t="s">
        <v>38</v>
      </c>
      <c r="C21" s="10">
        <f>'New Up-Round Pricing Model'!C25</f>
        <v>4252854</v>
      </c>
      <c r="D21" s="4">
        <f>SUM(C21:C21)/SUM(C$23:C$23)</f>
        <v>0.2616681353318008</v>
      </c>
      <c r="E21" s="4" t="s">
        <v>19</v>
      </c>
      <c r="F21" s="10">
        <f>'Pre-$ Capitalization'!F19</f>
        <v>0</v>
      </c>
      <c r="G21" s="4">
        <f>F21/F$23</f>
        <v>0</v>
      </c>
      <c r="H21" s="22">
        <v>0</v>
      </c>
      <c r="I21" s="4">
        <f>H21/H$23</f>
        <v>0</v>
      </c>
      <c r="J21" s="4">
        <f>(F21+H21)/(F$23+H$23)</f>
        <v>0</v>
      </c>
      <c r="K21" s="13">
        <f>C21+F21+H21</f>
        <v>4252854</v>
      </c>
      <c r="L21" s="4">
        <f>K21/K$23</f>
        <v>0.07392645301321564</v>
      </c>
    </row>
    <row r="22" spans="3:38" s="2" customFormat="1" ht="12.75">
      <c r="C22" s="11"/>
      <c r="D22" s="3"/>
      <c r="E22" s="3"/>
      <c r="F22" s="11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</row>
    <row r="23" spans="3:38" ht="12.75">
      <c r="C23" s="10">
        <f>SUM(C5:C22)</f>
        <v>16252854</v>
      </c>
      <c r="D23" s="4">
        <f>SUM(D5:D22)</f>
        <v>1</v>
      </c>
      <c r="E23" s="4">
        <f>SUM(E6:E16)</f>
        <v>0.7016138662474196</v>
      </c>
      <c r="F23" s="10">
        <f aca="true" t="shared" si="0" ref="F23:L23">SUM(F5:F22)</f>
        <v>36500000</v>
      </c>
      <c r="G23" s="4">
        <f t="shared" si="0"/>
        <v>1</v>
      </c>
      <c r="H23" s="10">
        <f t="shared" si="0"/>
        <v>4775322</v>
      </c>
      <c r="I23" s="4">
        <f t="shared" si="0"/>
        <v>1</v>
      </c>
      <c r="J23" s="4">
        <f t="shared" si="0"/>
        <v>1</v>
      </c>
      <c r="K23" s="10">
        <f t="shared" si="0"/>
        <v>57528176</v>
      </c>
      <c r="L23" s="4">
        <f t="shared" si="0"/>
        <v>0.9999999999999999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3:38" ht="12.75"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</row>
    <row r="25" spans="11:12" ht="12.75">
      <c r="K25" s="15"/>
      <c r="L25" s="15"/>
    </row>
    <row r="26" spans="1:12" ht="12.75">
      <c r="A26" s="1" t="s">
        <v>36</v>
      </c>
      <c r="K26" s="15"/>
      <c r="L26" s="16"/>
    </row>
    <row r="27" spans="1:12" ht="12.75">
      <c r="A27" s="1" t="s">
        <v>37</v>
      </c>
      <c r="L27" s="13"/>
    </row>
    <row r="28" spans="1:12" ht="12.75">
      <c r="A28" s="1" t="s">
        <v>24</v>
      </c>
      <c r="L28" s="21"/>
    </row>
    <row r="30" ht="12.75">
      <c r="A30" s="20"/>
    </row>
    <row r="31" spans="7:10" ht="12.75">
      <c r="G31" s="18"/>
      <c r="H31" s="18"/>
      <c r="I31" s="18"/>
      <c r="J31" s="18"/>
    </row>
    <row r="32" spans="6:10" ht="12.75">
      <c r="F32" s="17"/>
      <c r="G32" s="18"/>
      <c r="H32" s="18"/>
      <c r="I32" s="18"/>
      <c r="J32" s="18"/>
    </row>
    <row r="36" spans="1:38" s="10" customFormat="1" ht="12.75">
      <c r="A36" s="1"/>
      <c r="B36" s="1"/>
      <c r="D36" s="19"/>
      <c r="E36" s="19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s="10" customFormat="1" ht="12.75">
      <c r="A37" s="1"/>
      <c r="B37" s="1"/>
      <c r="D37" s="19"/>
      <c r="E37" s="19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Cooley Godward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Cooley Godward LLP</dc:creator>
  <cp:keywords/>
  <dc:description/>
  <cp:lastModifiedBy>Heather-Anne Hubbell</cp:lastModifiedBy>
  <cp:lastPrinted>2008-12-11T15:40:36Z</cp:lastPrinted>
  <dcterms:created xsi:type="dcterms:W3CDTF">2006-05-09T19:48:58Z</dcterms:created>
  <dcterms:modified xsi:type="dcterms:W3CDTF">2021-03-25T00:04:39Z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display_urn:schemas-microsoft-com:office:office#Editor">
    <vt:lpwstr>Heather-Anne Hubbell</vt:lpwstr>
  </property>
  <property fmtid="{D5CDD505-2E9C-101B-9397-08002B2CF9AE}" pid="4" name="Order">
    <vt:lpwstr>137200.000000000</vt:lpwstr>
  </property>
  <property fmtid="{D5CDD505-2E9C-101B-9397-08002B2CF9AE}" pid="5" name="_ExtendedDescription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Heather-Anne Hubbell</vt:lpwstr>
  </property>
  <property fmtid="{D5CDD505-2E9C-101B-9397-08002B2CF9AE}" pid="8" name="ComplianceAssetId">
    <vt:lpwstr/>
  </property>
  <property fmtid="{D5CDD505-2E9C-101B-9397-08002B2CF9AE}" pid="9" name="TriggerFlowInfo">
    <vt:lpwstr/>
  </property>
  <property fmtid="{D5CDD505-2E9C-101B-9397-08002B2CF9AE}" pid="10" name="ContentTypeId">
    <vt:lpwstr>0x010100B9148C3798062D4A82F0D1C704571992</vt:lpwstr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MediaLengthInSeconds">
    <vt:lpwstr/>
  </property>
</Properties>
</file>